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<sst xmlns="http://schemas.openxmlformats.org/spreadsheetml/2006/main" count="33" uniqueCount="33">
  <si>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</si>
  <si>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</si>
  <si>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</si>
  <si>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</si>
  <si>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</si>
  <si>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</si>
  <si>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</si>
  <si>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</si>
  <si>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</si>
  <si>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</si>
  <si>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</si>
  <si>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</si>
  <si>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</si>
  <si>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</si>
  <si>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</si>
  <si>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</si>
  <si>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</si>
  <si>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</si>
  <si>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</si>
  <si>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</si>
  <si>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</si>
  <si>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</si>
  <si>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</si>
  <si>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</si>
  <si>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</si>
  <si>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</si>
  <si>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</si>
  <si>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>13160,00 - замена металлических коробов на техэтаже (ливневой канализации).                                 3998,00 - ремонт стояка ХВС кв. 21, 25.</t>
  </si>
  <si>
    <t>6815,00 - ремонт канализации в подвале 2ого подъезда, установка поливочного крана.                                                                               13828,00 - ремонт кровли шахты лифта (3 под.).                                                                                    6490,00 - демонтаж грязевика, установка фланцевых соединений в тепловом узле.</t>
  </si>
  <si>
    <t>349550,00 - замена окон, ремонт откосов 1,2,3 под.</t>
  </si>
  <si>
    <t>7697,00 - установка поливочного шланга (2 под.).</t>
  </si>
  <si>
    <t>16114,00 - ремон трубопровода отопления в подвале с заменой задвижки, фланцев, вентилей.                                                   1209,00 - замена шаровых кранов на трубопроводе отопления в 1 под.</t>
  </si>
  <si>
    <t>2981,00 - ремонт трубопроводв отопления с заменой трубы, вентиля.                                       2499,00 - ремонт трубопровода отопления (1 под.).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</si>
</sst>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25113</v>
          </cell>
          <cell r="AB7">
            <v>15057</v>
          </cell>
          <cell r="AC7">
            <v>4786</v>
          </cell>
          <cell r="AE7">
            <v>88958.42</v>
          </cell>
          <cell r="AF7">
            <v>-71820.30000000003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Q14">
            <v>10284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11172.860000000015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473710.58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Q22">
            <v>20524.54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283135.87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Q49">
            <v>40404.47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-34440.330000000075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U54">
            <v>4769</v>
          </cell>
          <cell r="AA54">
            <v>4024</v>
          </cell>
          <cell r="AB54">
            <v>29582</v>
          </cell>
          <cell r="AD54">
            <v>51823</v>
          </cell>
          <cell r="AE54">
            <v>94690</v>
          </cell>
          <cell r="AF54">
            <v>108836.59999999995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AE57">
            <v>0</v>
          </cell>
          <cell r="AF57">
            <v>27989.32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12126</v>
          </cell>
          <cell r="AF73">
            <v>432609.44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16992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386518</v>
          </cell>
          <cell r="AF78">
            <v>1207236.0800000003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S81">
            <v>7000</v>
          </cell>
          <cell r="Z81">
            <v>9500</v>
          </cell>
          <cell r="AB81">
            <v>13267</v>
          </cell>
          <cell r="AE81">
            <v>29767</v>
          </cell>
          <cell r="AF81">
            <v>270734.6899999998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3657</v>
          </cell>
          <cell r="AB97">
            <v>938</v>
          </cell>
          <cell r="AC97">
            <v>3868</v>
          </cell>
          <cell r="AD97">
            <v>3060</v>
          </cell>
          <cell r="AE97">
            <v>119875</v>
          </cell>
          <cell r="AF97">
            <v>522261.0600000002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2124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24</v>
      </c>
      <c r="B3" s="22"/>
      <c r="C3" s="22"/>
      <c r="D3" s="22"/>
      <c r="E3" s="22"/>
    </row>
    <row r="4" spans="1:5" ht="18.75" customHeight="1">
      <c r="A4" s="23" t="s">
        <v>25</v>
      </c>
      <c r="B4" s="24"/>
      <c r="C4" s="24"/>
      <c r="D4" s="24"/>
      <c r="E4" s="24"/>
    </row>
    <row r="5" spans="1:5" ht="30.75" customHeight="1">
      <c r="A5" s="19" t="str">
        <f>VLOOKUP(A1,'[1]2019'!$A$1:$AH$99,2,0)</f>
        <v>ул.Черняховского д.62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5864.29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16244.0833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23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VLOOKUP(A1,'[2]2020'!$A$1:$AH$101,4,0)</f>
        <v>591956.35</v>
      </c>
    </row>
    <row r="12" spans="1:5" ht="15.75">
      <c r="A12" s="3">
        <v>1</v>
      </c>
      <c r="B12" s="12" t="s">
        <v>4</v>
      </c>
      <c r="C12" s="8">
        <f>VLOOKUP(A1,'[2]2020'!$A$1:$AH$101,5,0)</f>
        <v>13078.83</v>
      </c>
      <c r="D12" s="8">
        <f>VLOOKUP(A1,'[2]2020'!$A$1:$AH$100,18,0)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VLOOKUP(A1,'[2]2020'!$A$1:$AH$101,6,0)</f>
        <v>16500.54</v>
      </c>
      <c r="D13" s="8">
        <f>VLOOKUP(A1,'[2]2020'!$A$1:$AH$101,19,0)</f>
        <v>0</v>
      </c>
      <c r="E13" s="10"/>
    </row>
    <row r="14" spans="1:5" ht="46.5" customHeight="1">
      <c r="A14" s="3">
        <v>3</v>
      </c>
      <c r="B14" s="12" t="s">
        <v>6</v>
      </c>
      <c r="C14" s="8">
        <f>VLOOKUP(A1,'[2]2020'!$A$1:$AH$101,7,0)</f>
        <v>14494.77</v>
      </c>
      <c r="D14" s="8">
        <f>VLOOKUP(A1,'[2]2020'!$A$1:$AH$101,20,0)</f>
        <v>17158</v>
      </c>
      <c r="E14" s="10" t="s">
        <v>27</v>
      </c>
    </row>
    <row r="15" spans="1:5" ht="15.75">
      <c r="A15" s="3">
        <v>4</v>
      </c>
      <c r="B15" s="4" t="s">
        <v>7</v>
      </c>
      <c r="C15" s="8">
        <f>VLOOKUP(A1,'[2]2020'!$A$1:$AH$101,8,0)</f>
        <v>13709.52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19245.510000000002</v>
      </c>
      <c r="D16" s="8">
        <f>VLOOKUP(A1,'[1]2019'!$A$1:$AH$101,22,0)</f>
        <v>0</v>
      </c>
      <c r="E16" s="10"/>
    </row>
    <row r="17" spans="1:5" ht="110.25" customHeight="1">
      <c r="A17" s="3">
        <v>6</v>
      </c>
      <c r="B17" s="12" t="s">
        <v>9</v>
      </c>
      <c r="C17" s="8">
        <f>VLOOKUP(A1,'[2]2020'!$A$1:$AH$101,10,0)</f>
        <v>12462.93</v>
      </c>
      <c r="D17" s="8">
        <f>VLOOKUP(A1,'[2]2020'!$A$1:$AH$101,23,0)</f>
        <v>27133</v>
      </c>
      <c r="E17" s="10" t="s">
        <v>28</v>
      </c>
    </row>
    <row r="18" spans="1:5" ht="15.75">
      <c r="A18" s="3">
        <v>7</v>
      </c>
      <c r="B18" s="4" t="s">
        <v>10</v>
      </c>
      <c r="C18" s="8">
        <f>VLOOKUP(A1,'[2]2020'!$A$1:$AH$101,11,0)</f>
        <v>13873.93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16578.41</v>
      </c>
      <c r="D19" s="8">
        <f>VLOOKUP(A1,'[2]2020'!$A$1:$AH$102,25,0)</f>
        <v>0</v>
      </c>
      <c r="E19" s="10"/>
    </row>
    <row r="20" spans="1:5" ht="31.5">
      <c r="A20" s="3">
        <v>9</v>
      </c>
      <c r="B20" s="4" t="s">
        <v>12</v>
      </c>
      <c r="C20" s="8">
        <f>VLOOKUP(A1,'[2]2020'!$A$1:$AH$101,13,0)</f>
        <v>13891.24</v>
      </c>
      <c r="D20" s="8">
        <f>VLOOKUP(A1,'[2]2020'!$A$1:$AH$101,26,0)</f>
        <v>7697</v>
      </c>
      <c r="E20" s="10" t="s">
        <v>30</v>
      </c>
    </row>
    <row r="21" spans="1:5" ht="78.75">
      <c r="A21" s="3">
        <v>10</v>
      </c>
      <c r="B21" s="4" t="s">
        <v>13</v>
      </c>
      <c r="C21" s="8">
        <f>VLOOKUP(A1,'[2]2020'!$A$1:$AH$101,14,0)</f>
        <v>13883.83</v>
      </c>
      <c r="D21" s="8">
        <f>VLOOKUP(A1,'[2]2020'!$A$1:$AH$101,27,0)</f>
        <v>17323</v>
      </c>
      <c r="E21" s="10" t="s">
        <v>31</v>
      </c>
    </row>
    <row r="22" spans="1:5" ht="33" customHeight="1">
      <c r="A22" s="3">
        <v>11</v>
      </c>
      <c r="B22" s="12" t="s">
        <v>14</v>
      </c>
      <c r="C22" s="8">
        <f>VLOOKUP(A1,'[2]2020'!$A$1:$AH$101,15,0)</f>
        <v>13413.18</v>
      </c>
      <c r="D22" s="8">
        <f>VLOOKUP(A1,'[2]2020'!$A$1:$AH$101,28,0)</f>
        <v>349550</v>
      </c>
      <c r="E22" s="10" t="s">
        <v>29</v>
      </c>
    </row>
    <row r="23" spans="1:5" ht="63.75" customHeight="1">
      <c r="A23" s="3">
        <v>12</v>
      </c>
      <c r="B23" s="12" t="s">
        <v>15</v>
      </c>
      <c r="C23" s="8">
        <f>VLOOKUP(A1,'[2]2020'!$A$1:$AH$101,16,0)</f>
        <v>21256.81</v>
      </c>
      <c r="D23" s="8">
        <f>VLOOKUP(A1,'[2]2020'!$A$1:$AH$101,29,0)</f>
        <v>44829</v>
      </c>
      <c r="E23" s="10" t="s">
        <v>32</v>
      </c>
    </row>
    <row r="24" spans="1:5" ht="15.75">
      <c r="A24" s="29" t="s">
        <v>16</v>
      </c>
      <c r="B24" s="30"/>
      <c r="C24" s="9">
        <f>SUM(C12:C23)</f>
        <v>182389.49999999997</v>
      </c>
      <c r="D24" s="9">
        <f>SUM(D12:D23)</f>
        <v>463690</v>
      </c>
      <c r="E24" s="11"/>
    </row>
    <row r="25" spans="1:5" ht="15.75">
      <c r="A25" s="26" t="s">
        <v>26</v>
      </c>
      <c r="B25" s="27"/>
      <c r="C25" s="27"/>
      <c r="D25" s="27"/>
      <c r="E25" s="17">
        <f>E11+C24-D24</f>
        <v>310655.85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2021-03-03T09:12:32Z</dcterms:modified>
  <cp:category/>
  <cp:version/>
  <cp:contentType/>
  <cp:contentStatus/>
</cp:coreProperties>
</file>